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2120" windowHeight="8445"/>
  </bookViews>
  <sheets>
    <sheet name="Proj Costs" sheetId="1" r:id="rId1"/>
  </sheets>
  <definedNames>
    <definedName name="_xlnm.Print_Area" localSheetId="0">'Proj Costs'!$A$1:$T$63</definedName>
  </definedNames>
  <calcPr calcId="145621"/>
</workbook>
</file>

<file path=xl/calcChain.xml><?xml version="1.0" encoding="utf-8"?>
<calcChain xmlns="http://schemas.openxmlformats.org/spreadsheetml/2006/main">
  <c r="Q12" i="1" l="1"/>
  <c r="Q36" i="1"/>
  <c r="Q42" i="1"/>
  <c r="Q10" i="1"/>
  <c r="Q7" i="1"/>
  <c r="Q13" i="1" s="1"/>
  <c r="Q62" i="1" s="1"/>
  <c r="Q8" i="1"/>
  <c r="T8" i="1"/>
  <c r="Q45" i="1"/>
  <c r="Q54" i="1" s="1"/>
  <c r="Q61" i="1" s="1"/>
  <c r="Q63" i="1" s="1"/>
  <c r="C36" i="1"/>
  <c r="Q23" i="1"/>
  <c r="Q29" i="1" s="1"/>
  <c r="Q20" i="1"/>
  <c r="Q58" i="1"/>
  <c r="P57" i="1"/>
  <c r="P58" i="1"/>
  <c r="P45" i="1"/>
  <c r="P46" i="1"/>
  <c r="P47" i="1"/>
  <c r="P48" i="1"/>
  <c r="P49" i="1"/>
  <c r="J50" i="1"/>
  <c r="K50" i="1"/>
  <c r="L50" i="1"/>
  <c r="M50" i="1"/>
  <c r="N50" i="1"/>
  <c r="O50" i="1"/>
  <c r="P50" i="1"/>
  <c r="P54" i="1" s="1"/>
  <c r="P51" i="1"/>
  <c r="P52" i="1"/>
  <c r="P53" i="1"/>
  <c r="P39" i="1"/>
  <c r="P40" i="1"/>
  <c r="P41" i="1"/>
  <c r="P32" i="1"/>
  <c r="P33" i="1"/>
  <c r="P34" i="1"/>
  <c r="P35" i="1"/>
  <c r="P36" i="1"/>
  <c r="P23" i="1"/>
  <c r="P24" i="1"/>
  <c r="P29" i="1" s="1"/>
  <c r="P25" i="1"/>
  <c r="P26" i="1"/>
  <c r="P27" i="1"/>
  <c r="P28" i="1"/>
  <c r="P17" i="1"/>
  <c r="P20" i="1" s="1"/>
  <c r="P18" i="1"/>
  <c r="O19" i="1"/>
  <c r="P19" i="1" s="1"/>
  <c r="O58" i="1"/>
  <c r="O54" i="1"/>
  <c r="O42" i="1"/>
  <c r="O36" i="1"/>
  <c r="O29" i="1"/>
  <c r="N58" i="1"/>
  <c r="N54" i="1"/>
  <c r="N61" i="1" s="1"/>
  <c r="N42" i="1"/>
  <c r="N36" i="1"/>
  <c r="N29" i="1"/>
  <c r="N20" i="1"/>
  <c r="M58" i="1"/>
  <c r="M54" i="1"/>
  <c r="M42" i="1"/>
  <c r="M36" i="1"/>
  <c r="M61" i="1" s="1"/>
  <c r="M29" i="1"/>
  <c r="M20" i="1"/>
  <c r="L58" i="1"/>
  <c r="L54" i="1"/>
  <c r="L61" i="1" s="1"/>
  <c r="L42" i="1"/>
  <c r="L36" i="1"/>
  <c r="L29" i="1"/>
  <c r="L20" i="1"/>
  <c r="K58" i="1"/>
  <c r="K54" i="1"/>
  <c r="K42" i="1"/>
  <c r="K36" i="1"/>
  <c r="K61" i="1" s="1"/>
  <c r="K29" i="1"/>
  <c r="K20" i="1"/>
  <c r="J58" i="1"/>
  <c r="J54" i="1"/>
  <c r="J61" i="1" s="1"/>
  <c r="J42" i="1"/>
  <c r="J36" i="1"/>
  <c r="J29" i="1"/>
  <c r="J20" i="1"/>
  <c r="I58" i="1"/>
  <c r="I54" i="1"/>
  <c r="I42" i="1"/>
  <c r="I36" i="1"/>
  <c r="I61" i="1" s="1"/>
  <c r="I29" i="1"/>
  <c r="I20" i="1"/>
  <c r="H58" i="1"/>
  <c r="H54" i="1"/>
  <c r="H61" i="1" s="1"/>
  <c r="H42" i="1"/>
  <c r="H36" i="1"/>
  <c r="H29" i="1"/>
  <c r="H20" i="1"/>
  <c r="J68" i="1"/>
  <c r="K68" i="1"/>
  <c r="L68" i="1"/>
  <c r="M68" i="1"/>
  <c r="N68" i="1"/>
  <c r="O68" i="1"/>
  <c r="K13" i="1"/>
  <c r="L13" i="1"/>
  <c r="M13" i="1"/>
  <c r="N13" i="1"/>
  <c r="O13" i="1"/>
  <c r="J13" i="1"/>
  <c r="J62" i="1" s="1"/>
  <c r="I7" i="1"/>
  <c r="I13" i="1"/>
  <c r="I62" i="1" s="1"/>
  <c r="H7" i="1"/>
  <c r="H13" i="1" s="1"/>
  <c r="H62" i="1" s="1"/>
  <c r="G20" i="1"/>
  <c r="G29" i="1"/>
  <c r="G36" i="1"/>
  <c r="G42" i="1"/>
  <c r="G54" i="1"/>
  <c r="G58" i="1"/>
  <c r="F7" i="1"/>
  <c r="F13" i="1"/>
  <c r="F62" i="1" s="1"/>
  <c r="F36" i="1"/>
  <c r="F20" i="1"/>
  <c r="F29" i="1"/>
  <c r="F42" i="1"/>
  <c r="F54" i="1"/>
  <c r="F61" i="1" s="1"/>
  <c r="F58" i="1"/>
  <c r="P68" i="1"/>
  <c r="E7" i="1"/>
  <c r="D7" i="1"/>
  <c r="E36" i="1"/>
  <c r="E58" i="1"/>
  <c r="E20" i="1"/>
  <c r="E29" i="1"/>
  <c r="E42" i="1"/>
  <c r="E54" i="1"/>
  <c r="D36" i="1"/>
  <c r="C12" i="1"/>
  <c r="C17" i="1"/>
  <c r="C20" i="1" s="1"/>
  <c r="C23" i="1"/>
  <c r="C29" i="1" s="1"/>
  <c r="C42" i="1"/>
  <c r="C45" i="1"/>
  <c r="C50" i="1"/>
  <c r="C54" i="1" s="1"/>
  <c r="C11" i="1"/>
  <c r="D2" i="1"/>
  <c r="E2" i="1"/>
  <c r="F2" i="1"/>
  <c r="G2" i="1"/>
  <c r="H2" i="1"/>
  <c r="I2" i="1"/>
  <c r="J2" i="1"/>
  <c r="K2" i="1"/>
  <c r="L2" i="1"/>
  <c r="M2" i="1"/>
  <c r="N2" i="1"/>
  <c r="O2" i="1"/>
  <c r="P8" i="1"/>
  <c r="P9" i="1"/>
  <c r="P10" i="1"/>
  <c r="P11" i="1"/>
  <c r="P12" i="1"/>
  <c r="C7" i="1"/>
  <c r="C13" i="1"/>
  <c r="C62" i="1" s="1"/>
  <c r="C58" i="1"/>
  <c r="D13" i="1"/>
  <c r="D62" i="1"/>
  <c r="E13" i="1"/>
  <c r="E62" i="1"/>
  <c r="L62" i="1"/>
  <c r="M62" i="1"/>
  <c r="N62" i="1"/>
  <c r="O62" i="1"/>
  <c r="D58" i="1"/>
  <c r="D61" i="1" s="1"/>
  <c r="D54" i="1"/>
  <c r="D42" i="1"/>
  <c r="D29" i="1"/>
  <c r="D20" i="1"/>
  <c r="K62" i="1"/>
  <c r="G13" i="1"/>
  <c r="G62" i="1" s="1"/>
  <c r="P7" i="1"/>
  <c r="P13" i="1" s="1"/>
  <c r="P62" i="1" s="1"/>
  <c r="E61" i="1"/>
  <c r="G61" i="1"/>
  <c r="P42" i="1"/>
  <c r="C61" i="1" l="1"/>
  <c r="C63" i="1" s="1"/>
  <c r="P61" i="1"/>
  <c r="P63" i="1" s="1"/>
  <c r="O20" i="1"/>
  <c r="O61" i="1" s="1"/>
  <c r="I67" i="1" l="1"/>
  <c r="I68" i="1" s="1"/>
  <c r="F67" i="1"/>
  <c r="F68" i="1" s="1"/>
  <c r="D67" i="1"/>
  <c r="D68" i="1" s="1"/>
  <c r="H67" i="1"/>
  <c r="H68" i="1" s="1"/>
  <c r="E67" i="1"/>
  <c r="E68" i="1" s="1"/>
  <c r="G67" i="1"/>
  <c r="G68" i="1" s="1"/>
</calcChain>
</file>

<file path=xl/sharedStrings.xml><?xml version="1.0" encoding="utf-8"?>
<sst xmlns="http://schemas.openxmlformats.org/spreadsheetml/2006/main" count="83" uniqueCount="83">
  <si>
    <t>CENTENNIAL LAKES</t>
  </si>
  <si>
    <t>COA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</si>
  <si>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</si>
  <si>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</si>
  <si>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</si>
  <si>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</si>
  <si>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</si>
  <si>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</si>
  <si>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</si>
  <si>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</si>
  <si>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</si>
  <si>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</si>
  <si>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</si>
  <si>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</si>
  <si>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</si>
  <si>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Members Assessements</t>
  </si>
  <si>
    <t>Clubhouse Usage Fees</t>
  </si>
  <si>
    <t>Developer Funding</t>
  </si>
  <si>
    <t>TOTAL INCOME</t>
  </si>
  <si>
    <t>EXPENSES</t>
  </si>
  <si>
    <t>Building Maintenance</t>
  </si>
  <si>
    <t>Clubhouse Maintenance &amp; Security</t>
  </si>
  <si>
    <t>Backflow Certification</t>
  </si>
  <si>
    <t>Janitorial Service</t>
  </si>
  <si>
    <t>Total Building Maintenance</t>
  </si>
  <si>
    <t>Grounds Maintenance</t>
  </si>
  <si>
    <t xml:space="preserve">Landscape Maintenance </t>
  </si>
  <si>
    <t>Seasonal Mulch/Pinestraw</t>
  </si>
  <si>
    <t>Seasonal Color</t>
  </si>
  <si>
    <t>Irrigation</t>
  </si>
  <si>
    <t>Pool Cards</t>
  </si>
  <si>
    <t>Total Grounds Maintenance</t>
  </si>
  <si>
    <t>Pool Maintenance</t>
  </si>
  <si>
    <t>Pool Service Contract/Lifeguards</t>
  </si>
  <si>
    <t>Pool Permit</t>
  </si>
  <si>
    <t xml:space="preserve">Pool Equipment, Supplies </t>
  </si>
  <si>
    <t>Total Pool Maintenance</t>
  </si>
  <si>
    <t>Utilities</t>
  </si>
  <si>
    <t xml:space="preserve">Electricity </t>
  </si>
  <si>
    <t>Water/Sewer</t>
  </si>
  <si>
    <t>Telephone</t>
  </si>
  <si>
    <t>Total Utilities</t>
  </si>
  <si>
    <t>Management &amp; Admin.</t>
  </si>
  <si>
    <t>Management Fees</t>
  </si>
  <si>
    <t>Postage</t>
  </si>
  <si>
    <t>Copies/Printing/Supplies</t>
  </si>
  <si>
    <t>CPA Services</t>
  </si>
  <si>
    <t>Legal</t>
  </si>
  <si>
    <t>Insurance</t>
  </si>
  <si>
    <t>Phone &amp; Fax</t>
  </si>
  <si>
    <t>Special Events</t>
  </si>
  <si>
    <t>Annual Corporate Report</t>
  </si>
  <si>
    <t>Total Mgmt. &amp; Admin.</t>
  </si>
  <si>
    <t>Recreational Maintenance</t>
  </si>
  <si>
    <t>Tennis Courts &amp; Playgrounds</t>
  </si>
  <si>
    <t>Total Recreational Maintenance</t>
  </si>
  <si>
    <t>TOTAL EXPENSES</t>
  </si>
  <si>
    <t>Minus Estimated Revenues</t>
  </si>
  <si>
    <t>TOTAL SHORTFALL</t>
  </si>
  <si>
    <t>Estimated Remaining Costs</t>
  </si>
  <si>
    <t>Needed Funding</t>
  </si>
  <si>
    <t>Transmitter</t>
  </si>
  <si>
    <t>Pool Repair</t>
  </si>
  <si>
    <t>Additional Landscape</t>
  </si>
  <si>
    <t>Projected 2011</t>
  </si>
  <si>
    <t>2011 Home Sales</t>
  </si>
  <si>
    <t>Allowance for doubtful accounts</t>
  </si>
  <si>
    <t xml:space="preserve">Cash on Hand </t>
  </si>
  <si>
    <t>Approved 2011</t>
  </si>
  <si>
    <t>Reserves</t>
  </si>
  <si>
    <t>17 people haven't paid as of 8/3/11</t>
  </si>
  <si>
    <t>Sears</t>
  </si>
  <si>
    <t>Cap Reserves</t>
  </si>
  <si>
    <t>2012</t>
  </si>
  <si>
    <t>Total Dev Fndg.</t>
  </si>
  <si>
    <t>257 Now</t>
  </si>
  <si>
    <t xml:space="preserve">New Homes coming in </t>
  </si>
  <si>
    <t>Approved 2012</t>
  </si>
  <si>
    <t xml:space="preserve">Approved 2012 Budget </t>
  </si>
  <si>
    <t>January 1, 2012 - December 31, 2012</t>
  </si>
  <si>
    <t xml:space="preserve">270 Units @ $650.00 per year </t>
  </si>
  <si>
    <t>Homes billed for 2011</t>
  </si>
  <si>
    <t>Homes billed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</si>
</sst>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b/>
      <sz val="1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44" fontId="3" fillId="0" borderId="1" xfId="1" applyFont="1" applyBorder="1"/>
    <xf numFmtId="0" fontId="4" fillId="0" borderId="0" xfId="0" applyFont="1"/>
    <xf numFmtId="44" fontId="4" fillId="0" borderId="2" xfId="0" applyNumberFormat="1" applyFont="1" applyBorder="1"/>
    <xf numFmtId="0" fontId="3" fillId="0" borderId="1" xfId="0" applyFont="1" applyBorder="1"/>
    <xf numFmtId="0" fontId="4" fillId="0" borderId="2" xfId="0" applyFont="1" applyBorder="1"/>
    <xf numFmtId="44" fontId="4" fillId="0" borderId="3" xfId="0" applyNumberFormat="1" applyFont="1" applyBorder="1"/>
    <xf numFmtId="44" fontId="4" fillId="0" borderId="2" xfId="1" applyFont="1" applyBorder="1"/>
    <xf numFmtId="44" fontId="3" fillId="0" borderId="1" xfId="0" applyNumberFormat="1" applyFont="1" applyBorder="1"/>
    <xf numFmtId="0" fontId="3" fillId="0" borderId="4" xfId="0" applyFont="1" applyBorder="1"/>
    <xf numFmtId="44" fontId="4" fillId="0" borderId="0" xfId="1" applyFont="1" applyBorder="1"/>
    <xf numFmtId="44" fontId="3" fillId="0" borderId="5" xfId="1" applyFont="1" applyBorder="1"/>
    <xf numFmtId="44" fontId="4" fillId="0" borderId="0" xfId="1" applyFont="1"/>
    <xf numFmtId="44" fontId="3" fillId="0" borderId="0" xfId="1" applyFont="1" applyBorder="1"/>
    <xf numFmtId="44" fontId="4" fillId="0" borderId="0" xfId="0" applyNumberFormat="1" applyFont="1"/>
    <xf numFmtId="44" fontId="4" fillId="0" borderId="0" xfId="0" applyNumberFormat="1" applyFont="1" applyBorder="1"/>
    <xf numFmtId="44" fontId="3" fillId="0" borderId="0" xfId="0" applyNumberFormat="1" applyFont="1" applyBorder="1"/>
    <xf numFmtId="44" fontId="3" fillId="0" borderId="6" xfId="0" applyNumberFormat="1" applyFont="1" applyBorder="1"/>
    <xf numFmtId="44" fontId="3" fillId="0" borderId="0" xfId="0" applyNumberFormat="1" applyFont="1"/>
    <xf numFmtId="164" fontId="4" fillId="0" borderId="2" xfId="0" applyNumberFormat="1" applyFont="1" applyBorder="1"/>
    <xf numFmtId="44" fontId="4" fillId="0" borderId="7" xfId="0" applyNumberFormat="1" applyFont="1" applyBorder="1"/>
    <xf numFmtId="44" fontId="4" fillId="0" borderId="8" xfId="0" applyNumberFormat="1" applyFont="1" applyFill="1" applyBorder="1"/>
    <xf numFmtId="44" fontId="4" fillId="0" borderId="2" xfId="0" applyNumberFormat="1" applyFont="1" applyFill="1" applyBorder="1"/>
    <xf numFmtId="44" fontId="4" fillId="0" borderId="2" xfId="1" applyFont="1" applyFill="1" applyBorder="1"/>
    <xf numFmtId="44" fontId="4" fillId="0" borderId="0" xfId="1" applyFont="1" applyFill="1"/>
    <xf numFmtId="44" fontId="4" fillId="0" borderId="0" xfId="0" applyNumberFormat="1" applyFont="1" applyFill="1"/>
    <xf numFmtId="44" fontId="3" fillId="0" borderId="1" xfId="1" applyFont="1" applyFill="1" applyBorder="1"/>
    <xf numFmtId="44" fontId="3" fillId="0" borderId="6" xfId="1" applyFont="1" applyFill="1" applyBorder="1"/>
    <xf numFmtId="0" fontId="4" fillId="0" borderId="2" xfId="0" applyFont="1" applyFill="1" applyBorder="1"/>
    <xf numFmtId="44" fontId="3" fillId="0" borderId="5" xfId="1" applyFont="1" applyFill="1" applyBorder="1"/>
    <xf numFmtId="44" fontId="3" fillId="0" borderId="0" xfId="1" applyFont="1" applyFill="1" applyBorder="1"/>
    <xf numFmtId="44" fontId="3" fillId="0" borderId="0" xfId="0" applyNumberFormat="1" applyFont="1" applyFill="1" applyBorder="1"/>
    <xf numFmtId="164" fontId="3" fillId="0" borderId="9" xfId="0" applyNumberFormat="1" applyFont="1" applyFill="1" applyBorder="1"/>
    <xf numFmtId="164" fontId="3" fillId="0" borderId="6" xfId="0" applyNumberFormat="1" applyFont="1" applyFill="1" applyBorder="1"/>
    <xf numFmtId="44" fontId="3" fillId="0" borderId="9" xfId="1" applyFont="1" applyFill="1" applyBorder="1"/>
    <xf numFmtId="44" fontId="4" fillId="0" borderId="0" xfId="1" applyFont="1" applyFill="1" applyBorder="1"/>
    <xf numFmtId="164" fontId="3" fillId="0" borderId="1" xfId="1" applyNumberFormat="1" applyFont="1" applyFill="1" applyBorder="1"/>
    <xf numFmtId="44" fontId="4" fillId="0" borderId="3" xfId="0" applyNumberFormat="1" applyFont="1" applyFill="1" applyBorder="1"/>
    <xf numFmtId="44" fontId="4" fillId="0" borderId="1" xfId="0" applyNumberFormat="1" applyFont="1" applyFill="1" applyBorder="1"/>
    <xf numFmtId="164" fontId="3" fillId="0" borderId="1" xfId="0" applyNumberFormat="1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44" fontId="4" fillId="0" borderId="10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10" xfId="0" applyFont="1" applyBorder="1"/>
    <xf numFmtId="0" fontId="3" fillId="0" borderId="0" xfId="0" applyFont="1"/>
    <xf numFmtId="0" fontId="4" fillId="0" borderId="10" xfId="0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6" fontId="4" fillId="0" borderId="13" xfId="0" applyNumberFormat="1" applyFont="1" applyBorder="1"/>
    <xf numFmtId="0" fontId="3" fillId="0" borderId="14" xfId="0" quotePrefix="1" applyFont="1" applyBorder="1"/>
    <xf numFmtId="0" fontId="3" fillId="0" borderId="15" xfId="0" applyFont="1" applyBorder="1"/>
    <xf numFmtId="165" fontId="3" fillId="0" borderId="16" xfId="1" applyNumberFormat="1" applyFont="1" applyBorder="1"/>
    <xf numFmtId="0" fontId="3" fillId="0" borderId="17" xfId="0" applyFont="1" applyBorder="1"/>
    <xf numFmtId="0" fontId="4" fillId="0" borderId="15" xfId="0" applyFont="1" applyBorder="1"/>
    <xf numFmtId="6" fontId="3" fillId="0" borderId="15" xfId="0" applyNumberFormat="1" applyFont="1" applyBorder="1"/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/>
    <xf numFmtId="44" fontId="3" fillId="0" borderId="18" xfId="1" applyFont="1" applyFill="1" applyBorder="1"/>
    <xf numFmtId="164" fontId="4" fillId="0" borderId="0" xfId="0" applyNumberFormat="1" applyFont="1"/>
    <xf numFmtId="0" fontId="6" fillId="0" borderId="1" xfId="0" applyFont="1" applyBorder="1"/>
    <xf numFmtId="0" fontId="4" fillId="0" borderId="19" xfId="0" applyFont="1" applyBorder="1"/>
    <xf numFmtId="8" fontId="4" fillId="0" borderId="2" xfId="0" applyNumberFormat="1" applyFont="1" applyBorder="1"/>
    <xf numFmtId="0" fontId="4" fillId="0" borderId="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abSelected="1" view="pageBreakPreview" zoomScaleNormal="100" zoomScaleSheetLayoutView="100" workbookViewId="0">
      <selection activeCell="Q47" sqref="Q47"/>
    </sheetView>
  </sheetViews>
  <sheetFormatPr defaultRowHeight="12.75" x14ac:dyDescent="0.2"/>
  <cols>
    <col min="1" max="1" width="9.140625" style="3"/>
    <col min="2" max="2" width="37" style="3" bestFit="1" customWidth="1"/>
    <col min="3" max="3" width="20.7109375" style="3" bestFit="1" customWidth="1"/>
    <col min="4" max="8" width="12.85546875" style="3" hidden="1" customWidth="1"/>
    <col min="9" max="9" width="12" style="3" hidden="1" customWidth="1"/>
    <col min="10" max="15" width="11.28515625" style="3" hidden="1" customWidth="1"/>
    <col min="16" max="16" width="18.7109375" style="3" hidden="1" customWidth="1"/>
    <col min="17" max="17" width="20.7109375" style="3" bestFit="1" customWidth="1"/>
    <col min="18" max="18" width="9.85546875" style="3" hidden="1" customWidth="1"/>
    <col min="19" max="19" width="4.7109375" style="3" hidden="1" customWidth="1"/>
    <col min="20" max="20" width="14.28515625" style="3" hidden="1" customWidth="1"/>
    <col min="21" max="16384" width="9.140625" style="3"/>
  </cols>
  <sheetData>
    <row r="1" spans="1:20" s="45" customFormat="1" ht="24" thickBot="1" x14ac:dyDescent="0.4">
      <c r="A1" s="1"/>
      <c r="B1" s="44" t="s">
        <v>0</v>
      </c>
      <c r="C1" s="65"/>
      <c r="D1" s="45">
        <v>2</v>
      </c>
      <c r="E1" s="45">
        <v>2</v>
      </c>
      <c r="F1" s="45">
        <v>2</v>
      </c>
      <c r="G1" s="45">
        <v>2</v>
      </c>
      <c r="H1" s="45">
        <v>2</v>
      </c>
      <c r="I1" s="45">
        <v>2</v>
      </c>
      <c r="J1" s="45">
        <v>3</v>
      </c>
      <c r="K1" s="45">
        <v>3</v>
      </c>
      <c r="L1" s="45">
        <v>3</v>
      </c>
      <c r="M1" s="45">
        <v>3</v>
      </c>
      <c r="N1" s="45">
        <v>3</v>
      </c>
      <c r="O1" s="45">
        <v>3</v>
      </c>
      <c r="P1" s="46"/>
      <c r="Q1" s="46"/>
    </row>
    <row r="2" spans="1:20" x14ac:dyDescent="0.2">
      <c r="A2" s="45"/>
      <c r="B2" s="47" t="s">
        <v>78</v>
      </c>
      <c r="C2" s="49" t="s">
        <v>81</v>
      </c>
      <c r="D2" s="3">
        <f>D1*(550/12*D3)</f>
        <v>1100</v>
      </c>
      <c r="E2" s="3">
        <f t="shared" ref="E2:O2" si="0">E1*(550/12*E3)</f>
        <v>1008.3333333333334</v>
      </c>
      <c r="F2" s="3">
        <f t="shared" si="0"/>
        <v>916.66666666666674</v>
      </c>
      <c r="G2" s="3">
        <f t="shared" si="0"/>
        <v>825</v>
      </c>
      <c r="H2" s="3">
        <f t="shared" si="0"/>
        <v>733.33333333333337</v>
      </c>
      <c r="I2" s="3">
        <f t="shared" si="0"/>
        <v>641.66666666666674</v>
      </c>
      <c r="J2" s="3">
        <f t="shared" si="0"/>
        <v>825</v>
      </c>
      <c r="K2" s="3">
        <f t="shared" si="0"/>
        <v>687.5</v>
      </c>
      <c r="L2" s="3">
        <f t="shared" si="0"/>
        <v>550</v>
      </c>
      <c r="M2" s="3">
        <f t="shared" si="0"/>
        <v>412.5</v>
      </c>
      <c r="N2" s="3">
        <f t="shared" si="0"/>
        <v>275</v>
      </c>
      <c r="O2" s="3">
        <f t="shared" si="0"/>
        <v>137.5</v>
      </c>
      <c r="P2" s="48"/>
      <c r="Q2" s="49" t="s">
        <v>82</v>
      </c>
      <c r="R2" s="47" t="s">
        <v>75</v>
      </c>
    </row>
    <row r="3" spans="1:20" x14ac:dyDescent="0.2">
      <c r="B3" s="3" t="s">
        <v>79</v>
      </c>
      <c r="C3" s="6">
        <v>228</v>
      </c>
      <c r="D3" s="3">
        <v>12</v>
      </c>
      <c r="E3" s="3">
        <v>11</v>
      </c>
      <c r="F3" s="3">
        <v>10</v>
      </c>
      <c r="G3" s="3">
        <v>9</v>
      </c>
      <c r="H3" s="3">
        <v>8</v>
      </c>
      <c r="I3" s="3">
        <v>7</v>
      </c>
      <c r="J3" s="3">
        <v>6</v>
      </c>
      <c r="K3" s="3">
        <v>5</v>
      </c>
      <c r="L3" s="3">
        <v>4</v>
      </c>
      <c r="M3" s="3">
        <v>3</v>
      </c>
      <c r="N3" s="3">
        <v>2</v>
      </c>
      <c r="O3" s="3">
        <v>1</v>
      </c>
      <c r="P3" s="6"/>
      <c r="Q3" s="6">
        <v>270</v>
      </c>
      <c r="R3" s="47" t="s">
        <v>76</v>
      </c>
    </row>
    <row r="4" spans="1:20" ht="13.5" thickBot="1" x14ac:dyDescent="0.25">
      <c r="B4" s="66" t="s">
        <v>80</v>
      </c>
      <c r="C4" s="67">
        <v>550</v>
      </c>
      <c r="P4" s="6"/>
      <c r="Q4" s="20">
        <v>650</v>
      </c>
    </row>
    <row r="5" spans="1:20" ht="13.5" thickBot="1" x14ac:dyDescent="0.25">
      <c r="C5" s="68"/>
      <c r="P5" s="6"/>
      <c r="Q5" s="50"/>
    </row>
    <row r="6" spans="1:20" ht="13.5" thickBot="1" x14ac:dyDescent="0.25">
      <c r="A6" s="51" t="s">
        <v>1</v>
      </c>
      <c r="B6" s="47" t="s">
        <v>2</v>
      </c>
      <c r="C6" s="5" t="s">
        <v>68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5" t="s">
        <v>64</v>
      </c>
      <c r="Q6" s="5" t="s">
        <v>77</v>
      </c>
    </row>
    <row r="7" spans="1:20" x14ac:dyDescent="0.2">
      <c r="A7" s="51">
        <v>4020</v>
      </c>
      <c r="B7" s="3" t="s">
        <v>15</v>
      </c>
      <c r="C7" s="8">
        <f>228*550</f>
        <v>125400</v>
      </c>
      <c r="D7" s="11">
        <f>20786.05+198.95+50+585.58+1313.62+85.31</f>
        <v>23019.510000000002</v>
      </c>
      <c r="E7" s="11">
        <f>9902.71+316.48+521.37+350</f>
        <v>11090.56</v>
      </c>
      <c r="F7" s="11">
        <f>11431.01+455.24+2608.45+1597.8+935</f>
        <v>17027.5</v>
      </c>
      <c r="G7" s="11">
        <v>6161.5</v>
      </c>
      <c r="H7" s="11">
        <f>4550.35+420.15+2377.64+1803+605-H9-H10</f>
        <v>9031.14</v>
      </c>
      <c r="I7" s="16">
        <f>627.42+270.97+98+5019.51+2379.73+50+805+1561.32-I9-I10</f>
        <v>10171.950000000001</v>
      </c>
      <c r="J7" s="16"/>
      <c r="K7" s="16"/>
      <c r="L7" s="16"/>
      <c r="M7" s="16"/>
      <c r="N7" s="16"/>
      <c r="O7" s="16"/>
      <c r="P7" s="43">
        <f t="shared" ref="P7:P12" si="1">SUM(D7:O7)</f>
        <v>76502.159999999989</v>
      </c>
      <c r="Q7" s="21">
        <f>Q3*Q4</f>
        <v>175500</v>
      </c>
      <c r="R7" s="52" t="s">
        <v>72</v>
      </c>
      <c r="S7" s="53"/>
      <c r="T7" s="54">
        <v>0</v>
      </c>
    </row>
    <row r="8" spans="1:20" x14ac:dyDescent="0.2">
      <c r="A8" s="51">
        <v>4020</v>
      </c>
      <c r="B8" s="3" t="s">
        <v>65</v>
      </c>
      <c r="C8" s="8">
        <v>8112.5</v>
      </c>
      <c r="D8" s="11"/>
      <c r="E8" s="11"/>
      <c r="F8" s="16"/>
      <c r="G8" s="16"/>
      <c r="H8" s="16"/>
      <c r="I8" s="16"/>
      <c r="J8" s="16"/>
      <c r="K8" s="16"/>
      <c r="L8" s="16"/>
      <c r="M8" s="16"/>
      <c r="N8" s="16"/>
      <c r="O8" s="16"/>
      <c r="P8" s="4">
        <f t="shared" si="1"/>
        <v>0</v>
      </c>
      <c r="Q8" s="22">
        <f>(15*Q4)</f>
        <v>9750</v>
      </c>
      <c r="R8" s="55" t="s">
        <v>73</v>
      </c>
      <c r="S8" s="56">
        <v>28</v>
      </c>
      <c r="T8" s="57">
        <f>+S8*300</f>
        <v>8400</v>
      </c>
    </row>
    <row r="9" spans="1:20" x14ac:dyDescent="0.2">
      <c r="A9" s="51">
        <v>4180</v>
      </c>
      <c r="B9" s="3" t="s">
        <v>16</v>
      </c>
      <c r="C9" s="8">
        <v>1500</v>
      </c>
      <c r="D9" s="11">
        <v>0</v>
      </c>
      <c r="E9" s="11">
        <v>0</v>
      </c>
      <c r="F9" s="11">
        <v>525</v>
      </c>
      <c r="G9" s="11"/>
      <c r="H9" s="11">
        <v>525</v>
      </c>
      <c r="I9" s="11">
        <v>350</v>
      </c>
      <c r="J9" s="11">
        <v>125</v>
      </c>
      <c r="K9" s="11">
        <v>125</v>
      </c>
      <c r="L9" s="11">
        <v>125</v>
      </c>
      <c r="M9" s="11">
        <v>125</v>
      </c>
      <c r="N9" s="11">
        <v>125</v>
      </c>
      <c r="O9" s="11">
        <v>125</v>
      </c>
      <c r="P9" s="4">
        <f t="shared" si="1"/>
        <v>2150</v>
      </c>
      <c r="Q9" s="4">
        <v>2150</v>
      </c>
    </row>
    <row r="10" spans="1:20" x14ac:dyDescent="0.2">
      <c r="A10" s="51">
        <v>4191</v>
      </c>
      <c r="B10" s="3" t="s">
        <v>61</v>
      </c>
      <c r="C10" s="8">
        <v>250</v>
      </c>
      <c r="D10" s="11">
        <v>120</v>
      </c>
      <c r="E10" s="11"/>
      <c r="F10" s="16">
        <v>80</v>
      </c>
      <c r="G10" s="16"/>
      <c r="H10" s="16">
        <v>200</v>
      </c>
      <c r="I10" s="16">
        <v>290</v>
      </c>
      <c r="J10" s="16"/>
      <c r="K10" s="16"/>
      <c r="L10" s="16"/>
      <c r="M10" s="16"/>
      <c r="N10" s="16"/>
      <c r="O10" s="16"/>
      <c r="P10" s="4">
        <f t="shared" si="1"/>
        <v>690</v>
      </c>
      <c r="Q10" s="4">
        <f>40*30</f>
        <v>1200</v>
      </c>
    </row>
    <row r="11" spans="1:20" x14ac:dyDescent="0.2">
      <c r="A11" s="51">
        <v>2106</v>
      </c>
      <c r="B11" s="3" t="s">
        <v>17</v>
      </c>
      <c r="C11" s="8">
        <f>68153-8112.5</f>
        <v>60040.5</v>
      </c>
      <c r="D11" s="11"/>
      <c r="E11" s="11">
        <v>-30000</v>
      </c>
      <c r="F11" s="16"/>
      <c r="G11" s="16">
        <v>-10000</v>
      </c>
      <c r="H11" s="16"/>
      <c r="I11" s="16"/>
      <c r="J11" s="16"/>
      <c r="K11" s="16"/>
      <c r="L11" s="16">
        <v>68153</v>
      </c>
      <c r="M11" s="16"/>
      <c r="N11" s="16"/>
      <c r="O11" s="16"/>
      <c r="P11" s="4">
        <f t="shared" si="1"/>
        <v>28153</v>
      </c>
      <c r="Q11" s="4">
        <v>5000</v>
      </c>
      <c r="R11" s="58" t="s">
        <v>74</v>
      </c>
      <c r="S11" s="59"/>
      <c r="T11" s="60">
        <v>264888</v>
      </c>
    </row>
    <row r="12" spans="1:20" ht="13.5" thickBot="1" x14ac:dyDescent="0.25">
      <c r="A12" s="51">
        <v>4969</v>
      </c>
      <c r="B12" s="3" t="s">
        <v>66</v>
      </c>
      <c r="C12" s="8">
        <f>-(6*550+2500)</f>
        <v>-5800</v>
      </c>
      <c r="D12" s="11">
        <v>0</v>
      </c>
      <c r="E12" s="11"/>
      <c r="F12" s="16">
        <v>-1074.5</v>
      </c>
      <c r="G12" s="16"/>
      <c r="H12" s="16"/>
      <c r="I12" s="16">
        <v>-591.16999999999996</v>
      </c>
      <c r="J12" s="16">
        <v>-483.33</v>
      </c>
      <c r="K12" s="16">
        <v>-483.33</v>
      </c>
      <c r="L12" s="16">
        <v>-483.33</v>
      </c>
      <c r="M12" s="16">
        <v>-483.33</v>
      </c>
      <c r="N12" s="16">
        <v>-483.33</v>
      </c>
      <c r="O12" s="16">
        <v>-483.33</v>
      </c>
      <c r="P12" s="7">
        <f t="shared" si="1"/>
        <v>-4565.6499999999996</v>
      </c>
      <c r="Q12" s="7">
        <f>-(15*Q4)</f>
        <v>-9750</v>
      </c>
      <c r="R12" s="3" t="s">
        <v>70</v>
      </c>
    </row>
    <row r="13" spans="1:20" ht="13.5" thickBot="1" x14ac:dyDescent="0.25">
      <c r="A13" s="51"/>
      <c r="B13" s="47" t="s">
        <v>18</v>
      </c>
      <c r="C13" s="9">
        <f>SUM(C7:C12)</f>
        <v>189503</v>
      </c>
      <c r="D13" s="12">
        <f>24264.37+263.03+728.94+2198.25</f>
        <v>27454.589999999997</v>
      </c>
      <c r="E13" s="2">
        <f>24264.37+263.03+728.94+2198.25</f>
        <v>27454.589999999997</v>
      </c>
      <c r="F13" s="2">
        <f>F7-F9-F10+F12</f>
        <v>15348</v>
      </c>
      <c r="G13" s="18">
        <f>G7-G11</f>
        <v>16161.5</v>
      </c>
      <c r="H13" s="18">
        <f t="shared" ref="H13:Q13" si="2">SUM(H7:H12)</f>
        <v>9756.14</v>
      </c>
      <c r="I13" s="18">
        <f t="shared" si="2"/>
        <v>10220.780000000001</v>
      </c>
      <c r="J13" s="18">
        <f t="shared" si="2"/>
        <v>-358.33</v>
      </c>
      <c r="K13" s="18">
        <f t="shared" si="2"/>
        <v>-358.33</v>
      </c>
      <c r="L13" s="18">
        <f t="shared" si="2"/>
        <v>67794.67</v>
      </c>
      <c r="M13" s="18">
        <f t="shared" si="2"/>
        <v>-358.33</v>
      </c>
      <c r="N13" s="18">
        <f t="shared" si="2"/>
        <v>-358.33</v>
      </c>
      <c r="O13" s="18">
        <f t="shared" si="2"/>
        <v>-358.33</v>
      </c>
      <c r="P13" s="9">
        <f t="shared" si="2"/>
        <v>102929.51</v>
      </c>
      <c r="Q13" s="9">
        <f t="shared" si="2"/>
        <v>183850</v>
      </c>
    </row>
    <row r="14" spans="1:20" x14ac:dyDescent="0.2">
      <c r="A14" s="51"/>
      <c r="B14" s="47"/>
      <c r="C14" s="6"/>
      <c r="D14" s="13"/>
      <c r="E14" s="13"/>
      <c r="F14" s="17"/>
      <c r="G14" s="17"/>
      <c r="H14" s="17"/>
      <c r="I14" s="17"/>
      <c r="J14" s="17"/>
      <c r="P14" s="4"/>
      <c r="Q14" s="20"/>
    </row>
    <row r="15" spans="1:20" x14ac:dyDescent="0.2">
      <c r="A15" s="51"/>
      <c r="B15" s="47" t="s">
        <v>19</v>
      </c>
      <c r="C15" s="6"/>
      <c r="D15" s="13"/>
      <c r="E15" s="13"/>
      <c r="F15" s="17"/>
      <c r="G15" s="17"/>
      <c r="H15" s="17"/>
      <c r="I15" s="17"/>
      <c r="J15" s="17"/>
      <c r="P15" s="4"/>
      <c r="Q15" s="4"/>
    </row>
    <row r="16" spans="1:20" x14ac:dyDescent="0.2">
      <c r="A16" s="51"/>
      <c r="B16" s="47" t="s">
        <v>20</v>
      </c>
      <c r="C16" s="6"/>
      <c r="D16" s="13"/>
      <c r="E16" s="13"/>
      <c r="F16" s="17"/>
      <c r="G16" s="17"/>
      <c r="H16" s="17"/>
      <c r="I16" s="17"/>
      <c r="J16" s="17"/>
      <c r="P16" s="4"/>
      <c r="Q16" s="4"/>
    </row>
    <row r="17" spans="1:18" x14ac:dyDescent="0.2">
      <c r="A17" s="51">
        <v>5010</v>
      </c>
      <c r="B17" s="41" t="s">
        <v>21</v>
      </c>
      <c r="C17" s="24">
        <f>400*12</f>
        <v>4800</v>
      </c>
      <c r="D17" s="25">
        <v>418.48</v>
      </c>
      <c r="E17" s="25">
        <v>200.74299999999999</v>
      </c>
      <c r="F17" s="25">
        <v>527.35</v>
      </c>
      <c r="G17" s="25">
        <v>2527.56</v>
      </c>
      <c r="H17" s="25">
        <v>224.5</v>
      </c>
      <c r="I17" s="25">
        <v>410.3</v>
      </c>
      <c r="J17" s="25">
        <v>400</v>
      </c>
      <c r="K17" s="25">
        <v>400</v>
      </c>
      <c r="L17" s="25">
        <v>400</v>
      </c>
      <c r="M17" s="25">
        <v>400</v>
      </c>
      <c r="N17" s="25">
        <v>400</v>
      </c>
      <c r="O17" s="25">
        <v>400</v>
      </c>
      <c r="P17" s="23">
        <f>SUM(D17:O17)</f>
        <v>6708.933</v>
      </c>
      <c r="Q17" s="23">
        <v>6500</v>
      </c>
    </row>
    <row r="18" spans="1:18" x14ac:dyDescent="0.2">
      <c r="A18" s="61">
        <v>5062</v>
      </c>
      <c r="B18" s="41" t="s">
        <v>22</v>
      </c>
      <c r="C18" s="24">
        <v>750</v>
      </c>
      <c r="D18" s="25">
        <v>0</v>
      </c>
      <c r="E18" s="25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62">
        <v>0</v>
      </c>
      <c r="L18" s="62">
        <v>0</v>
      </c>
      <c r="M18" s="62">
        <v>750</v>
      </c>
      <c r="N18" s="62"/>
      <c r="O18" s="62"/>
      <c r="P18" s="23">
        <f>SUM(D18:O18)</f>
        <v>750</v>
      </c>
      <c r="Q18" s="23">
        <v>750</v>
      </c>
    </row>
    <row r="19" spans="1:18" ht="13.5" thickBot="1" x14ac:dyDescent="0.25">
      <c r="A19" s="51">
        <v>5209</v>
      </c>
      <c r="B19" s="3" t="s">
        <v>23</v>
      </c>
      <c r="C19" s="24">
        <v>6750</v>
      </c>
      <c r="D19" s="25">
        <v>1380</v>
      </c>
      <c r="E19" s="25">
        <v>0</v>
      </c>
      <c r="F19" s="25">
        <v>695</v>
      </c>
      <c r="G19" s="25">
        <v>695</v>
      </c>
      <c r="H19" s="25">
        <v>935</v>
      </c>
      <c r="I19" s="25">
        <v>725</v>
      </c>
      <c r="J19" s="25">
        <v>650</v>
      </c>
      <c r="K19" s="25">
        <v>650</v>
      </c>
      <c r="L19" s="25">
        <v>650</v>
      </c>
      <c r="M19" s="25">
        <v>500</v>
      </c>
      <c r="N19" s="25">
        <v>500</v>
      </c>
      <c r="O19" s="25">
        <f>125*4</f>
        <v>500</v>
      </c>
      <c r="P19" s="23">
        <f>SUM(D19:O19)</f>
        <v>7880</v>
      </c>
      <c r="Q19" s="23">
        <v>7645</v>
      </c>
    </row>
    <row r="20" spans="1:18" ht="13.5" thickBot="1" x14ac:dyDescent="0.25">
      <c r="A20" s="51"/>
      <c r="B20" s="47" t="s">
        <v>24</v>
      </c>
      <c r="C20" s="27">
        <f>SUM(C17:C19)</f>
        <v>12300</v>
      </c>
      <c r="D20" s="28">
        <f>SUM(D17:D19)</f>
        <v>1798.48</v>
      </c>
      <c r="E20" s="28">
        <f t="shared" ref="E20:O20" si="3">SUM(E17:E19)</f>
        <v>200.74299999999999</v>
      </c>
      <c r="F20" s="28">
        <f t="shared" si="3"/>
        <v>1222.3499999999999</v>
      </c>
      <c r="G20" s="28">
        <f t="shared" si="3"/>
        <v>3222.56</v>
      </c>
      <c r="H20" s="28">
        <f t="shared" si="3"/>
        <v>1159.5</v>
      </c>
      <c r="I20" s="28">
        <f t="shared" si="3"/>
        <v>1135.3</v>
      </c>
      <c r="J20" s="28">
        <f t="shared" si="3"/>
        <v>1050</v>
      </c>
      <c r="K20" s="28">
        <f t="shared" si="3"/>
        <v>1050</v>
      </c>
      <c r="L20" s="28">
        <f t="shared" si="3"/>
        <v>1050</v>
      </c>
      <c r="M20" s="28">
        <f t="shared" si="3"/>
        <v>1650</v>
      </c>
      <c r="N20" s="28">
        <f t="shared" si="3"/>
        <v>900</v>
      </c>
      <c r="O20" s="28">
        <f t="shared" si="3"/>
        <v>900</v>
      </c>
      <c r="P20" s="27">
        <f>SUM(P17:P19)</f>
        <v>15338.933000000001</v>
      </c>
      <c r="Q20" s="27">
        <f>SUM(Q17:Q19)</f>
        <v>14895</v>
      </c>
    </row>
    <row r="21" spans="1:18" x14ac:dyDescent="0.2">
      <c r="A21" s="51"/>
      <c r="B21" s="47"/>
      <c r="C21" s="29"/>
      <c r="D21" s="25"/>
      <c r="E21" s="25"/>
      <c r="F21" s="26"/>
      <c r="G21" s="26"/>
      <c r="H21" s="26"/>
      <c r="I21" s="26"/>
      <c r="J21" s="26"/>
      <c r="K21" s="62"/>
      <c r="L21" s="62"/>
      <c r="M21" s="62"/>
      <c r="N21" s="62"/>
      <c r="O21" s="62"/>
      <c r="P21" s="23"/>
      <c r="Q21" s="23"/>
    </row>
    <row r="22" spans="1:18" x14ac:dyDescent="0.2">
      <c r="A22" s="51"/>
      <c r="B22" s="47" t="s">
        <v>25</v>
      </c>
      <c r="C22" s="29"/>
      <c r="D22" s="25"/>
      <c r="E22" s="25"/>
      <c r="F22" s="26"/>
      <c r="G22" s="26"/>
      <c r="H22" s="26"/>
      <c r="I22" s="26"/>
      <c r="J22" s="26"/>
      <c r="K22" s="62"/>
      <c r="L22" s="62"/>
      <c r="M22" s="62"/>
      <c r="N22" s="62"/>
      <c r="O22" s="62"/>
      <c r="P22" s="23"/>
      <c r="Q22" s="23"/>
    </row>
    <row r="23" spans="1:18" x14ac:dyDescent="0.2">
      <c r="A23" s="51">
        <v>6040</v>
      </c>
      <c r="B23" s="3" t="s">
        <v>26</v>
      </c>
      <c r="C23" s="24">
        <f>4825*12</f>
        <v>57900</v>
      </c>
      <c r="D23" s="25">
        <v>4825</v>
      </c>
      <c r="E23" s="25">
        <v>0</v>
      </c>
      <c r="F23" s="25">
        <v>9650</v>
      </c>
      <c r="G23" s="25">
        <v>4845</v>
      </c>
      <c r="H23" s="25">
        <v>4825</v>
      </c>
      <c r="I23" s="25">
        <v>4981</v>
      </c>
      <c r="J23" s="25">
        <v>4825</v>
      </c>
      <c r="K23" s="25">
        <v>4825</v>
      </c>
      <c r="L23" s="25">
        <v>4825</v>
      </c>
      <c r="M23" s="25">
        <v>4825</v>
      </c>
      <c r="N23" s="25">
        <v>4825</v>
      </c>
      <c r="O23" s="25">
        <v>4825</v>
      </c>
      <c r="P23" s="23">
        <f t="shared" ref="P23:P28" si="4">SUM(D23:O23)</f>
        <v>58076</v>
      </c>
      <c r="Q23" s="23">
        <f>4825*12</f>
        <v>57900</v>
      </c>
    </row>
    <row r="24" spans="1:18" x14ac:dyDescent="0.2">
      <c r="A24" s="51">
        <v>6045</v>
      </c>
      <c r="B24" s="3" t="s">
        <v>63</v>
      </c>
      <c r="C24" s="24">
        <v>1000</v>
      </c>
      <c r="D24" s="25">
        <v>0</v>
      </c>
      <c r="E24" s="25">
        <v>0</v>
      </c>
      <c r="F24" s="25">
        <v>0</v>
      </c>
      <c r="G24" s="25">
        <v>0</v>
      </c>
      <c r="H24" s="25">
        <v>485</v>
      </c>
      <c r="I24" s="25">
        <v>0</v>
      </c>
      <c r="J24" s="25">
        <v>0</v>
      </c>
      <c r="K24" s="25">
        <v>0</v>
      </c>
      <c r="L24" s="25">
        <v>500</v>
      </c>
      <c r="M24" s="25"/>
      <c r="N24" s="25"/>
      <c r="O24" s="25"/>
      <c r="P24" s="23">
        <f t="shared" si="4"/>
        <v>985</v>
      </c>
      <c r="Q24" s="23">
        <v>1000</v>
      </c>
    </row>
    <row r="25" spans="1:18" x14ac:dyDescent="0.2">
      <c r="A25" s="51">
        <v>6060</v>
      </c>
      <c r="B25" s="3" t="s">
        <v>27</v>
      </c>
      <c r="C25" s="24">
        <v>10000</v>
      </c>
      <c r="D25" s="25">
        <v>0</v>
      </c>
      <c r="E25" s="25">
        <v>0</v>
      </c>
      <c r="F25" s="26">
        <v>82.5</v>
      </c>
      <c r="G25" s="26">
        <v>4111.8</v>
      </c>
      <c r="H25" s="26">
        <v>0</v>
      </c>
      <c r="I25" s="26">
        <v>0</v>
      </c>
      <c r="J25" s="26">
        <v>0</v>
      </c>
      <c r="K25" s="62">
        <v>0</v>
      </c>
      <c r="L25" s="62">
        <v>0</v>
      </c>
      <c r="M25" s="62"/>
      <c r="N25" s="62"/>
      <c r="O25" s="62"/>
      <c r="P25" s="23">
        <f t="shared" si="4"/>
        <v>4194.3</v>
      </c>
      <c r="Q25" s="23">
        <v>4000</v>
      </c>
    </row>
    <row r="26" spans="1:18" x14ac:dyDescent="0.2">
      <c r="A26" s="51">
        <v>6110</v>
      </c>
      <c r="B26" s="3" t="s">
        <v>28</v>
      </c>
      <c r="C26" s="24">
        <v>750</v>
      </c>
      <c r="D26" s="25">
        <v>0</v>
      </c>
      <c r="E26" s="25">
        <v>0</v>
      </c>
      <c r="F26" s="26">
        <v>0</v>
      </c>
      <c r="G26" s="26">
        <v>0</v>
      </c>
      <c r="H26" s="26">
        <v>748</v>
      </c>
      <c r="I26" s="26">
        <v>0</v>
      </c>
      <c r="J26" s="26">
        <v>0</v>
      </c>
      <c r="K26" s="62">
        <v>0</v>
      </c>
      <c r="L26" s="62">
        <v>0</v>
      </c>
      <c r="M26" s="62"/>
      <c r="N26" s="62"/>
      <c r="O26" s="62"/>
      <c r="P26" s="23">
        <f t="shared" si="4"/>
        <v>748</v>
      </c>
      <c r="Q26" s="23">
        <v>750</v>
      </c>
    </row>
    <row r="27" spans="1:18" x14ac:dyDescent="0.2">
      <c r="A27" s="51">
        <v>6120</v>
      </c>
      <c r="B27" s="3" t="s">
        <v>29</v>
      </c>
      <c r="C27" s="24">
        <v>250</v>
      </c>
      <c r="D27" s="25">
        <v>0</v>
      </c>
      <c r="E27" s="25">
        <v>0</v>
      </c>
      <c r="F27" s="25">
        <v>0</v>
      </c>
      <c r="G27" s="25">
        <v>0</v>
      </c>
      <c r="H27" s="25">
        <v>365</v>
      </c>
      <c r="I27" s="25">
        <v>250</v>
      </c>
      <c r="J27" s="25">
        <v>0</v>
      </c>
      <c r="K27" s="25">
        <v>0</v>
      </c>
      <c r="L27" s="25">
        <v>0</v>
      </c>
      <c r="M27" s="25"/>
      <c r="N27" s="25"/>
      <c r="O27" s="25"/>
      <c r="P27" s="23">
        <f t="shared" si="4"/>
        <v>615</v>
      </c>
      <c r="Q27" s="23">
        <v>250</v>
      </c>
    </row>
    <row r="28" spans="1:18" ht="13.5" thickBot="1" x14ac:dyDescent="0.25">
      <c r="A28" s="51">
        <v>6605</v>
      </c>
      <c r="B28" s="3" t="s">
        <v>30</v>
      </c>
      <c r="C28" s="24">
        <v>250</v>
      </c>
      <c r="D28" s="25">
        <v>218</v>
      </c>
      <c r="E28" s="25">
        <v>0</v>
      </c>
      <c r="F28" s="26">
        <v>0</v>
      </c>
      <c r="G28" s="26">
        <v>0</v>
      </c>
      <c r="H28" s="26">
        <v>0</v>
      </c>
      <c r="I28" s="26">
        <v>212.5</v>
      </c>
      <c r="J28" s="26">
        <v>0</v>
      </c>
      <c r="K28" s="62">
        <v>0</v>
      </c>
      <c r="L28" s="62">
        <v>0</v>
      </c>
      <c r="M28" s="62"/>
      <c r="N28" s="62"/>
      <c r="O28" s="62"/>
      <c r="P28" s="23">
        <f t="shared" si="4"/>
        <v>430.5</v>
      </c>
      <c r="Q28" s="23">
        <v>250</v>
      </c>
    </row>
    <row r="29" spans="1:18" ht="13.5" thickBot="1" x14ac:dyDescent="0.25">
      <c r="A29" s="51"/>
      <c r="B29" s="47" t="s">
        <v>31</v>
      </c>
      <c r="C29" s="27">
        <f>SUM(C23:C28)</f>
        <v>70150</v>
      </c>
      <c r="D29" s="30">
        <f t="shared" ref="D29:O29" si="5">SUM(D23:D28)</f>
        <v>5043</v>
      </c>
      <c r="E29" s="27">
        <f t="shared" si="5"/>
        <v>0</v>
      </c>
      <c r="F29" s="27">
        <f t="shared" si="5"/>
        <v>9732.5</v>
      </c>
      <c r="G29" s="27">
        <f t="shared" si="5"/>
        <v>8956.7999999999993</v>
      </c>
      <c r="H29" s="27">
        <f t="shared" si="5"/>
        <v>6423</v>
      </c>
      <c r="I29" s="27">
        <f t="shared" si="5"/>
        <v>5443.5</v>
      </c>
      <c r="J29" s="27">
        <f t="shared" si="5"/>
        <v>4825</v>
      </c>
      <c r="K29" s="27">
        <f t="shared" si="5"/>
        <v>4825</v>
      </c>
      <c r="L29" s="27">
        <f t="shared" si="5"/>
        <v>5325</v>
      </c>
      <c r="M29" s="27">
        <f t="shared" si="5"/>
        <v>4825</v>
      </c>
      <c r="N29" s="27">
        <f t="shared" si="5"/>
        <v>4825</v>
      </c>
      <c r="O29" s="63">
        <f t="shared" si="5"/>
        <v>4825</v>
      </c>
      <c r="P29" s="27">
        <f>SUM(P23:P28)</f>
        <v>65048.800000000003</v>
      </c>
      <c r="Q29" s="27">
        <f>SUM(Q23:Q28)</f>
        <v>64150</v>
      </c>
    </row>
    <row r="30" spans="1:18" x14ac:dyDescent="0.2">
      <c r="A30" s="51"/>
      <c r="B30" s="47"/>
      <c r="C30" s="29"/>
      <c r="D30" s="31"/>
      <c r="E30" s="31"/>
      <c r="F30" s="32"/>
      <c r="G30" s="32"/>
      <c r="H30" s="32"/>
      <c r="I30" s="32"/>
      <c r="J30" s="32"/>
      <c r="K30" s="62"/>
      <c r="L30" s="62"/>
      <c r="M30" s="62"/>
      <c r="N30" s="62"/>
      <c r="O30" s="62"/>
      <c r="P30" s="23"/>
      <c r="Q30" s="23"/>
    </row>
    <row r="31" spans="1:18" x14ac:dyDescent="0.2">
      <c r="A31" s="51"/>
      <c r="B31" s="47" t="s">
        <v>32</v>
      </c>
      <c r="C31" s="29"/>
      <c r="D31" s="25"/>
      <c r="E31" s="25"/>
      <c r="F31" s="26"/>
      <c r="G31" s="26"/>
      <c r="H31" s="26"/>
      <c r="I31" s="26"/>
      <c r="J31" s="26"/>
      <c r="K31" s="62"/>
      <c r="L31" s="62"/>
      <c r="M31" s="62"/>
      <c r="N31" s="62"/>
      <c r="O31" s="62"/>
      <c r="P31" s="23"/>
      <c r="Q31" s="23"/>
    </row>
    <row r="32" spans="1:18" x14ac:dyDescent="0.2">
      <c r="A32" s="51">
        <v>7040</v>
      </c>
      <c r="B32" s="3" t="s">
        <v>33</v>
      </c>
      <c r="C32" s="24">
        <v>6500</v>
      </c>
      <c r="D32" s="25">
        <v>200</v>
      </c>
      <c r="E32" s="25">
        <v>295</v>
      </c>
      <c r="F32" s="26">
        <v>200</v>
      </c>
      <c r="G32" s="26">
        <v>200</v>
      </c>
      <c r="H32" s="26">
        <v>0</v>
      </c>
      <c r="I32" s="26">
        <v>4684.1499999999996</v>
      </c>
      <c r="J32" s="26">
        <v>2390</v>
      </c>
      <c r="K32" s="26">
        <v>2390</v>
      </c>
      <c r="L32" s="26">
        <v>2390</v>
      </c>
      <c r="M32" s="62">
        <v>200</v>
      </c>
      <c r="N32" s="62">
        <v>200</v>
      </c>
      <c r="O32" s="62">
        <v>200</v>
      </c>
      <c r="P32" s="23">
        <f>SUM(D32:O32)</f>
        <v>13349.15</v>
      </c>
      <c r="Q32" s="23">
        <v>13650</v>
      </c>
      <c r="R32" s="51" t="s">
        <v>71</v>
      </c>
    </row>
    <row r="33" spans="1:17" x14ac:dyDescent="0.2">
      <c r="A33" s="51">
        <v>7043</v>
      </c>
      <c r="B33" s="3" t="s">
        <v>34</v>
      </c>
      <c r="C33" s="24">
        <v>875</v>
      </c>
      <c r="D33" s="25">
        <v>0</v>
      </c>
      <c r="E33" s="25">
        <v>875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62">
        <v>0</v>
      </c>
      <c r="N33" s="62"/>
      <c r="O33" s="62"/>
      <c r="P33" s="23">
        <f>SUM(D33:O33)</f>
        <v>875</v>
      </c>
      <c r="Q33" s="23">
        <v>875</v>
      </c>
    </row>
    <row r="34" spans="1:17" x14ac:dyDescent="0.2">
      <c r="A34" s="51">
        <v>7060</v>
      </c>
      <c r="B34" s="3" t="s">
        <v>35</v>
      </c>
      <c r="C34" s="24">
        <v>3500</v>
      </c>
      <c r="D34" s="25">
        <v>0</v>
      </c>
      <c r="E34" s="25">
        <v>0</v>
      </c>
      <c r="F34" s="25">
        <v>1953.03</v>
      </c>
      <c r="G34" s="25">
        <v>0</v>
      </c>
      <c r="H34" s="25">
        <v>0</v>
      </c>
      <c r="I34" s="25">
        <v>423.44</v>
      </c>
      <c r="J34" s="25">
        <v>291.67</v>
      </c>
      <c r="K34" s="25">
        <v>291.67</v>
      </c>
      <c r="L34" s="25">
        <v>291.67</v>
      </c>
      <c r="M34" s="25"/>
      <c r="N34" s="25"/>
      <c r="O34" s="25"/>
      <c r="P34" s="23">
        <f>SUM(D34:O34)</f>
        <v>3251.48</v>
      </c>
      <c r="Q34" s="23">
        <v>3500</v>
      </c>
    </row>
    <row r="35" spans="1:17" ht="13.5" thickBot="1" x14ac:dyDescent="0.25">
      <c r="A35" s="51">
        <v>7080</v>
      </c>
      <c r="B35" s="3" t="s">
        <v>62</v>
      </c>
      <c r="C35" s="24">
        <v>500</v>
      </c>
      <c r="D35" s="25">
        <v>0</v>
      </c>
      <c r="E35" s="25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62">
        <v>0</v>
      </c>
      <c r="L35" s="62">
        <v>0</v>
      </c>
      <c r="M35" s="62"/>
      <c r="N35" s="62"/>
      <c r="O35" s="62"/>
      <c r="P35" s="23">
        <f>SUM(D35:O35)</f>
        <v>0</v>
      </c>
      <c r="Q35" s="23">
        <v>0</v>
      </c>
    </row>
    <row r="36" spans="1:17" ht="13.5" thickBot="1" x14ac:dyDescent="0.25">
      <c r="A36" s="51"/>
      <c r="B36" s="47" t="s">
        <v>36</v>
      </c>
      <c r="C36" s="33">
        <f>SUM(C32:C35)</f>
        <v>11375</v>
      </c>
      <c r="D36" s="28">
        <f>SUM(D32:D35)</f>
        <v>200</v>
      </c>
      <c r="E36" s="28">
        <f>SUM(E32:E35)</f>
        <v>1170</v>
      </c>
      <c r="F36" s="28">
        <f>SUM(F32:F35)</f>
        <v>2153.0299999999997</v>
      </c>
      <c r="G36" s="28">
        <f t="shared" ref="G36:P36" si="6">SUM(G32:G35)</f>
        <v>200</v>
      </c>
      <c r="H36" s="34">
        <f t="shared" si="6"/>
        <v>0</v>
      </c>
      <c r="I36" s="34">
        <f t="shared" si="6"/>
        <v>5107.5899999999992</v>
      </c>
      <c r="J36" s="34">
        <f t="shared" si="6"/>
        <v>2681.67</v>
      </c>
      <c r="K36" s="34">
        <f t="shared" si="6"/>
        <v>2681.67</v>
      </c>
      <c r="L36" s="34">
        <f t="shared" si="6"/>
        <v>2681.67</v>
      </c>
      <c r="M36" s="34">
        <f t="shared" si="6"/>
        <v>200</v>
      </c>
      <c r="N36" s="34">
        <f t="shared" si="6"/>
        <v>200</v>
      </c>
      <c r="O36" s="34">
        <f t="shared" si="6"/>
        <v>200</v>
      </c>
      <c r="P36" s="27">
        <f t="shared" si="6"/>
        <v>17475.63</v>
      </c>
      <c r="Q36" s="27">
        <f>SUM(Q32:Q35)</f>
        <v>18025</v>
      </c>
    </row>
    <row r="37" spans="1:17" x14ac:dyDescent="0.2">
      <c r="A37" s="51"/>
      <c r="B37" s="47"/>
      <c r="C37" s="29"/>
      <c r="D37" s="31"/>
      <c r="E37" s="31"/>
      <c r="F37" s="32"/>
      <c r="G37" s="32"/>
      <c r="H37" s="32"/>
      <c r="I37" s="32"/>
      <c r="J37" s="32"/>
      <c r="K37" s="62"/>
      <c r="L37" s="62"/>
      <c r="M37" s="62"/>
      <c r="N37" s="62"/>
      <c r="O37" s="62"/>
      <c r="P37" s="23"/>
      <c r="Q37" s="23"/>
    </row>
    <row r="38" spans="1:17" x14ac:dyDescent="0.2">
      <c r="A38" s="51"/>
      <c r="B38" s="47" t="s">
        <v>37</v>
      </c>
      <c r="C38" s="29"/>
      <c r="D38" s="25"/>
      <c r="E38" s="25"/>
      <c r="F38" s="26"/>
      <c r="G38" s="26"/>
      <c r="H38" s="26"/>
      <c r="I38" s="26"/>
      <c r="J38" s="26"/>
      <c r="K38" s="62"/>
      <c r="L38" s="62"/>
      <c r="M38" s="62"/>
      <c r="N38" s="62"/>
      <c r="O38" s="62"/>
      <c r="P38" s="23"/>
      <c r="Q38" s="23"/>
    </row>
    <row r="39" spans="1:17" x14ac:dyDescent="0.2">
      <c r="A39" s="51">
        <v>7910</v>
      </c>
      <c r="B39" s="3" t="s">
        <v>38</v>
      </c>
      <c r="C39" s="24">
        <v>28000</v>
      </c>
      <c r="D39" s="25">
        <v>1805.82</v>
      </c>
      <c r="E39" s="25">
        <v>0</v>
      </c>
      <c r="F39" s="25">
        <v>854.98</v>
      </c>
      <c r="G39" s="25">
        <v>1205.97</v>
      </c>
      <c r="H39" s="25">
        <v>1690.17</v>
      </c>
      <c r="I39" s="25">
        <v>2547.98</v>
      </c>
      <c r="J39" s="25">
        <v>2333.33</v>
      </c>
      <c r="K39" s="25">
        <v>2333.33</v>
      </c>
      <c r="L39" s="25">
        <v>2333.33</v>
      </c>
      <c r="M39" s="25">
        <v>2333.33</v>
      </c>
      <c r="N39" s="25">
        <v>2333.33</v>
      </c>
      <c r="O39" s="25">
        <v>2333.37</v>
      </c>
      <c r="P39" s="23">
        <f>SUM(D39:O39)</f>
        <v>22104.94</v>
      </c>
      <c r="Q39" s="23">
        <v>23000</v>
      </c>
    </row>
    <row r="40" spans="1:17" x14ac:dyDescent="0.2">
      <c r="A40" s="51">
        <v>7920</v>
      </c>
      <c r="B40" s="3" t="s">
        <v>39</v>
      </c>
      <c r="C40" s="24">
        <v>18500</v>
      </c>
      <c r="D40" s="25">
        <v>725.6</v>
      </c>
      <c r="E40" s="25">
        <v>524</v>
      </c>
      <c r="F40" s="25">
        <v>524</v>
      </c>
      <c r="G40" s="25">
        <v>2779.4</v>
      </c>
      <c r="H40" s="25">
        <v>1280</v>
      </c>
      <c r="I40" s="25">
        <v>1645.4</v>
      </c>
      <c r="J40" s="25">
        <v>1541.67</v>
      </c>
      <c r="K40" s="25">
        <v>1541.67</v>
      </c>
      <c r="L40" s="25">
        <v>1541.67</v>
      </c>
      <c r="M40" s="25">
        <v>1541.67</v>
      </c>
      <c r="N40" s="25">
        <v>1541.67</v>
      </c>
      <c r="O40" s="25">
        <v>1541.63</v>
      </c>
      <c r="P40" s="23">
        <f>SUM(D40:O40)</f>
        <v>16728.38</v>
      </c>
      <c r="Q40" s="23">
        <v>16000</v>
      </c>
    </row>
    <row r="41" spans="1:17" x14ac:dyDescent="0.2">
      <c r="A41" s="51">
        <v>7930</v>
      </c>
      <c r="B41" s="3" t="s">
        <v>40</v>
      </c>
      <c r="C41" s="24">
        <v>950</v>
      </c>
      <c r="D41" s="25">
        <v>68.73</v>
      </c>
      <c r="E41" s="25">
        <v>68.73</v>
      </c>
      <c r="F41" s="25">
        <v>69.180000000000007</v>
      </c>
      <c r="G41" s="25">
        <v>68.900000000000006</v>
      </c>
      <c r="H41" s="25">
        <v>68.83</v>
      </c>
      <c r="I41" s="25">
        <v>73.959999999999994</v>
      </c>
      <c r="J41" s="25">
        <v>68.83</v>
      </c>
      <c r="K41" s="25">
        <v>68.83</v>
      </c>
      <c r="L41" s="25">
        <v>68.83</v>
      </c>
      <c r="M41" s="25">
        <v>68.83</v>
      </c>
      <c r="N41" s="25">
        <v>68.83</v>
      </c>
      <c r="O41" s="25">
        <v>68.83</v>
      </c>
      <c r="P41" s="23">
        <f>SUM(D41:O41)</f>
        <v>831.31000000000017</v>
      </c>
      <c r="Q41" s="23">
        <v>850</v>
      </c>
    </row>
    <row r="42" spans="1:17" ht="13.5" thickBot="1" x14ac:dyDescent="0.25">
      <c r="A42" s="51"/>
      <c r="B42" s="47" t="s">
        <v>41</v>
      </c>
      <c r="C42" s="35">
        <f>SUM(C39:C41)</f>
        <v>47450</v>
      </c>
      <c r="D42" s="28">
        <f>SUM(D39:D41)</f>
        <v>2600.15</v>
      </c>
      <c r="E42" s="28">
        <f t="shared" ref="E42:O42" si="7">SUM(E39:E41)</f>
        <v>592.73</v>
      </c>
      <c r="F42" s="28">
        <f t="shared" si="7"/>
        <v>1448.16</v>
      </c>
      <c r="G42" s="28">
        <f t="shared" si="7"/>
        <v>4054.27</v>
      </c>
      <c r="H42" s="28">
        <f t="shared" si="7"/>
        <v>3039</v>
      </c>
      <c r="I42" s="28">
        <f t="shared" si="7"/>
        <v>4267.34</v>
      </c>
      <c r="J42" s="28">
        <f t="shared" si="7"/>
        <v>3943.83</v>
      </c>
      <c r="K42" s="28">
        <f t="shared" si="7"/>
        <v>3943.83</v>
      </c>
      <c r="L42" s="28">
        <f t="shared" si="7"/>
        <v>3943.83</v>
      </c>
      <c r="M42" s="28">
        <f t="shared" si="7"/>
        <v>3943.83</v>
      </c>
      <c r="N42" s="28">
        <f t="shared" si="7"/>
        <v>3943.83</v>
      </c>
      <c r="O42" s="28">
        <f t="shared" si="7"/>
        <v>3943.83</v>
      </c>
      <c r="P42" s="35">
        <f>SUM(P39:P41)</f>
        <v>39664.629999999997</v>
      </c>
      <c r="Q42" s="35">
        <f>SUM(Q39:Q41)</f>
        <v>39850</v>
      </c>
    </row>
    <row r="43" spans="1:17" x14ac:dyDescent="0.2">
      <c r="A43" s="51"/>
      <c r="B43" s="47"/>
      <c r="C43" s="29"/>
      <c r="D43" s="31"/>
      <c r="E43" s="31"/>
      <c r="F43" s="32"/>
      <c r="G43" s="32"/>
      <c r="H43" s="32"/>
      <c r="I43" s="32"/>
      <c r="J43" s="32"/>
      <c r="K43" s="62"/>
      <c r="L43" s="62"/>
      <c r="M43" s="62"/>
      <c r="N43" s="62"/>
      <c r="O43" s="62"/>
      <c r="P43" s="23"/>
      <c r="Q43" s="23"/>
    </row>
    <row r="44" spans="1:17" x14ac:dyDescent="0.2">
      <c r="A44" s="51"/>
      <c r="B44" s="47" t="s">
        <v>42</v>
      </c>
      <c r="C44" s="29"/>
      <c r="D44" s="25"/>
      <c r="E44" s="25"/>
      <c r="F44" s="26"/>
      <c r="G44" s="26"/>
      <c r="H44" s="26"/>
      <c r="I44" s="26"/>
      <c r="J44" s="26"/>
      <c r="K44" s="62"/>
      <c r="L44" s="62"/>
      <c r="M44" s="62"/>
      <c r="N44" s="62"/>
      <c r="O44" s="62"/>
      <c r="P44" s="23"/>
      <c r="Q44" s="23"/>
    </row>
    <row r="45" spans="1:17" x14ac:dyDescent="0.2">
      <c r="A45" s="51">
        <v>8020</v>
      </c>
      <c r="B45" s="3" t="s">
        <v>43</v>
      </c>
      <c r="C45" s="23">
        <f>1100*12</f>
        <v>13200</v>
      </c>
      <c r="D45" s="26">
        <v>1205</v>
      </c>
      <c r="E45" s="26">
        <v>1210</v>
      </c>
      <c r="F45" s="26">
        <v>1235</v>
      </c>
      <c r="G45" s="26">
        <v>1225</v>
      </c>
      <c r="H45" s="26">
        <v>1250</v>
      </c>
      <c r="I45" s="26">
        <v>1300</v>
      </c>
      <c r="J45" s="26">
        <v>1250</v>
      </c>
      <c r="K45" s="26">
        <v>1250</v>
      </c>
      <c r="L45" s="26">
        <v>1250</v>
      </c>
      <c r="M45" s="26">
        <v>1250</v>
      </c>
      <c r="N45" s="26">
        <v>1250</v>
      </c>
      <c r="O45" s="26">
        <v>1250</v>
      </c>
      <c r="P45" s="23">
        <f t="shared" ref="P45:P53" si="8">SUM(D45:O45)</f>
        <v>14925</v>
      </c>
      <c r="Q45" s="23">
        <f>(257*5*12)+(15*5*6)</f>
        <v>15870</v>
      </c>
    </row>
    <row r="46" spans="1:17" x14ac:dyDescent="0.2">
      <c r="A46" s="51">
        <v>8040</v>
      </c>
      <c r="B46" s="3" t="s">
        <v>44</v>
      </c>
      <c r="C46" s="23">
        <v>700</v>
      </c>
      <c r="D46" s="26">
        <v>10.63</v>
      </c>
      <c r="E46" s="26">
        <v>55.78</v>
      </c>
      <c r="F46" s="26">
        <v>19.940000000000001</v>
      </c>
      <c r="G46" s="26">
        <v>20.68</v>
      </c>
      <c r="H46" s="26">
        <v>143.66999999999999</v>
      </c>
      <c r="I46" s="26">
        <v>20.88</v>
      </c>
      <c r="J46" s="26">
        <v>58.33</v>
      </c>
      <c r="K46" s="26">
        <v>58.33</v>
      </c>
      <c r="L46" s="26">
        <v>58.33</v>
      </c>
      <c r="M46" s="26">
        <v>58.33</v>
      </c>
      <c r="N46" s="26">
        <v>58.33</v>
      </c>
      <c r="O46" s="26">
        <v>58.37</v>
      </c>
      <c r="P46" s="23">
        <f t="shared" si="8"/>
        <v>621.59999999999991</v>
      </c>
      <c r="Q46" s="23">
        <v>775</v>
      </c>
    </row>
    <row r="47" spans="1:17" x14ac:dyDescent="0.2">
      <c r="A47" s="51">
        <v>8060</v>
      </c>
      <c r="B47" s="3" t="s">
        <v>45</v>
      </c>
      <c r="C47" s="23">
        <v>875</v>
      </c>
      <c r="D47" s="26">
        <v>94.67</v>
      </c>
      <c r="E47" s="26">
        <v>88.9</v>
      </c>
      <c r="F47" s="26">
        <v>71.38</v>
      </c>
      <c r="G47" s="26">
        <v>42.76</v>
      </c>
      <c r="H47" s="26">
        <v>166.88</v>
      </c>
      <c r="I47" s="26">
        <v>37.700000000000003</v>
      </c>
      <c r="J47" s="26">
        <v>72.92</v>
      </c>
      <c r="K47" s="26">
        <v>72.92</v>
      </c>
      <c r="L47" s="26">
        <v>72.92</v>
      </c>
      <c r="M47" s="26">
        <v>72.92</v>
      </c>
      <c r="N47" s="26">
        <v>72.92</v>
      </c>
      <c r="O47" s="26">
        <v>72.88</v>
      </c>
      <c r="P47" s="23">
        <f t="shared" si="8"/>
        <v>939.76999999999975</v>
      </c>
      <c r="Q47" s="23">
        <v>975</v>
      </c>
    </row>
    <row r="48" spans="1:17" x14ac:dyDescent="0.2">
      <c r="A48" s="51">
        <v>8080</v>
      </c>
      <c r="B48" s="3" t="s">
        <v>46</v>
      </c>
      <c r="C48" s="23">
        <v>250</v>
      </c>
      <c r="D48" s="26">
        <v>0</v>
      </c>
      <c r="E48" s="26">
        <v>250</v>
      </c>
      <c r="F48" s="26">
        <v>0</v>
      </c>
      <c r="G48" s="26">
        <v>0</v>
      </c>
      <c r="H48" s="26">
        <v>0</v>
      </c>
      <c r="I48" s="26">
        <v>0</v>
      </c>
      <c r="J48" s="26"/>
      <c r="K48" s="26"/>
      <c r="L48" s="26"/>
      <c r="M48" s="26"/>
      <c r="N48" s="26"/>
      <c r="O48" s="26"/>
      <c r="P48" s="23">
        <f t="shared" si="8"/>
        <v>250</v>
      </c>
      <c r="Q48" s="23">
        <v>250</v>
      </c>
    </row>
    <row r="49" spans="1:17" x14ac:dyDescent="0.2">
      <c r="A49" s="51">
        <v>8100</v>
      </c>
      <c r="B49" s="3" t="s">
        <v>47</v>
      </c>
      <c r="C49" s="23">
        <v>12000</v>
      </c>
      <c r="D49" s="26">
        <v>0</v>
      </c>
      <c r="E49" s="26">
        <v>275</v>
      </c>
      <c r="F49" s="26">
        <v>45.38</v>
      </c>
      <c r="G49" s="26">
        <v>105</v>
      </c>
      <c r="H49" s="26">
        <v>0</v>
      </c>
      <c r="I49" s="26">
        <v>657</v>
      </c>
      <c r="J49" s="26">
        <v>1000</v>
      </c>
      <c r="K49" s="26">
        <v>1000</v>
      </c>
      <c r="L49" s="26">
        <v>1000</v>
      </c>
      <c r="M49" s="26">
        <v>1000</v>
      </c>
      <c r="N49" s="26">
        <v>1000</v>
      </c>
      <c r="O49" s="26">
        <v>1000</v>
      </c>
      <c r="P49" s="23">
        <f t="shared" si="8"/>
        <v>7082.38</v>
      </c>
      <c r="Q49" s="23">
        <v>8000</v>
      </c>
    </row>
    <row r="50" spans="1:17" x14ac:dyDescent="0.2">
      <c r="A50" s="51">
        <v>8120</v>
      </c>
      <c r="B50" s="3" t="s">
        <v>48</v>
      </c>
      <c r="C50" s="23">
        <f>2081+13556+1240+576</f>
        <v>17453</v>
      </c>
      <c r="D50" s="26">
        <v>0</v>
      </c>
      <c r="E50" s="26">
        <v>0</v>
      </c>
      <c r="F50" s="26">
        <v>3865.25</v>
      </c>
      <c r="G50" s="26">
        <v>1288.3900000000001</v>
      </c>
      <c r="H50" s="26">
        <v>1288.42</v>
      </c>
      <c r="I50" s="26">
        <v>1864.42</v>
      </c>
      <c r="J50" s="26">
        <f>1233</f>
        <v>1233</v>
      </c>
      <c r="K50" s="26">
        <f>1233+2081</f>
        <v>3314</v>
      </c>
      <c r="L50" s="26">
        <f>1233</f>
        <v>1233</v>
      </c>
      <c r="M50" s="26">
        <f>1233</f>
        <v>1233</v>
      </c>
      <c r="N50" s="26">
        <f>1233</f>
        <v>1233</v>
      </c>
      <c r="O50" s="26">
        <f>1233</f>
        <v>1233</v>
      </c>
      <c r="P50" s="23">
        <f t="shared" si="8"/>
        <v>17785.48</v>
      </c>
      <c r="Q50" s="23">
        <v>17810</v>
      </c>
    </row>
    <row r="51" spans="1:17" x14ac:dyDescent="0.2">
      <c r="A51" s="51">
        <v>8160</v>
      </c>
      <c r="B51" s="3" t="s">
        <v>49</v>
      </c>
      <c r="C51" s="23">
        <v>200</v>
      </c>
      <c r="D51" s="26">
        <v>3.25</v>
      </c>
      <c r="E51" s="26">
        <v>11.15</v>
      </c>
      <c r="F51" s="26">
        <v>16.850000000000001</v>
      </c>
      <c r="G51" s="26">
        <v>13.05</v>
      </c>
      <c r="H51" s="26">
        <v>7.7</v>
      </c>
      <c r="I51" s="26">
        <v>22.58</v>
      </c>
      <c r="J51" s="26">
        <v>16.670000000000002</v>
      </c>
      <c r="K51" s="26">
        <v>16.670000000000002</v>
      </c>
      <c r="L51" s="26">
        <v>16.670000000000002</v>
      </c>
      <c r="M51" s="26">
        <v>16.670000000000002</v>
      </c>
      <c r="N51" s="26">
        <v>16.670000000000002</v>
      </c>
      <c r="O51" s="26">
        <v>16.63</v>
      </c>
      <c r="P51" s="23">
        <f t="shared" si="8"/>
        <v>174.56</v>
      </c>
      <c r="Q51" s="23">
        <v>200</v>
      </c>
    </row>
    <row r="52" spans="1:17" x14ac:dyDescent="0.2">
      <c r="A52" s="51">
        <v>8322</v>
      </c>
      <c r="B52" s="3" t="s">
        <v>50</v>
      </c>
      <c r="C52" s="23">
        <v>1500</v>
      </c>
      <c r="D52" s="26">
        <v>0</v>
      </c>
      <c r="E52" s="26">
        <v>225</v>
      </c>
      <c r="F52" s="26">
        <v>150</v>
      </c>
      <c r="G52" s="26">
        <v>10.59</v>
      </c>
      <c r="H52" s="26">
        <v>0</v>
      </c>
      <c r="I52" s="26">
        <v>225</v>
      </c>
      <c r="J52" s="26">
        <v>125</v>
      </c>
      <c r="K52" s="26">
        <v>125</v>
      </c>
      <c r="L52" s="26">
        <v>125</v>
      </c>
      <c r="M52" s="26">
        <v>125</v>
      </c>
      <c r="N52" s="26">
        <v>125</v>
      </c>
      <c r="O52" s="26">
        <v>125</v>
      </c>
      <c r="P52" s="23">
        <f t="shared" si="8"/>
        <v>1360.59</v>
      </c>
      <c r="Q52" s="23">
        <v>1000</v>
      </c>
    </row>
    <row r="53" spans="1:17" ht="13.5" thickBot="1" x14ac:dyDescent="0.25">
      <c r="A53" s="51">
        <v>8390</v>
      </c>
      <c r="B53" s="3" t="s">
        <v>51</v>
      </c>
      <c r="C53" s="23">
        <v>50</v>
      </c>
      <c r="D53" s="26">
        <v>0</v>
      </c>
      <c r="E53" s="26">
        <v>50</v>
      </c>
      <c r="F53" s="26">
        <v>0</v>
      </c>
      <c r="G53" s="26">
        <v>0</v>
      </c>
      <c r="H53" s="26"/>
      <c r="I53" s="26">
        <v>0</v>
      </c>
      <c r="J53" s="26"/>
      <c r="K53" s="26"/>
      <c r="L53" s="26"/>
      <c r="M53" s="26"/>
      <c r="N53" s="26"/>
      <c r="O53" s="26"/>
      <c r="P53" s="23">
        <f t="shared" si="8"/>
        <v>50</v>
      </c>
      <c r="Q53" s="23">
        <v>50</v>
      </c>
    </row>
    <row r="54" spans="1:17" ht="13.5" thickBot="1" x14ac:dyDescent="0.25">
      <c r="A54" s="51"/>
      <c r="B54" s="47" t="s">
        <v>52</v>
      </c>
      <c r="C54" s="27">
        <f t="shared" ref="C54:Q54" si="9">SUM(C45:C53)</f>
        <v>46228</v>
      </c>
      <c r="D54" s="30">
        <f t="shared" si="9"/>
        <v>1313.5500000000002</v>
      </c>
      <c r="E54" s="27">
        <f t="shared" si="9"/>
        <v>2165.83</v>
      </c>
      <c r="F54" s="27">
        <f t="shared" si="9"/>
        <v>5403.8000000000011</v>
      </c>
      <c r="G54" s="27">
        <f t="shared" si="9"/>
        <v>2705.4700000000003</v>
      </c>
      <c r="H54" s="27">
        <f t="shared" si="9"/>
        <v>2856.67</v>
      </c>
      <c r="I54" s="27">
        <f t="shared" si="9"/>
        <v>4127.58</v>
      </c>
      <c r="J54" s="27">
        <f t="shared" si="9"/>
        <v>3755.92</v>
      </c>
      <c r="K54" s="27">
        <f t="shared" si="9"/>
        <v>5836.92</v>
      </c>
      <c r="L54" s="27">
        <f t="shared" si="9"/>
        <v>3755.92</v>
      </c>
      <c r="M54" s="27">
        <f t="shared" si="9"/>
        <v>3755.92</v>
      </c>
      <c r="N54" s="27">
        <f t="shared" si="9"/>
        <v>3755.92</v>
      </c>
      <c r="O54" s="27">
        <f t="shared" si="9"/>
        <v>3755.88</v>
      </c>
      <c r="P54" s="27">
        <f t="shared" si="9"/>
        <v>43189.37999999999</v>
      </c>
      <c r="Q54" s="27">
        <f t="shared" si="9"/>
        <v>44930</v>
      </c>
    </row>
    <row r="55" spans="1:17" x14ac:dyDescent="0.2">
      <c r="A55" s="51"/>
      <c r="B55" s="47"/>
      <c r="C55" s="29"/>
      <c r="D55" s="31"/>
      <c r="E55" s="31"/>
      <c r="F55" s="32"/>
      <c r="G55" s="32"/>
      <c r="H55" s="32"/>
      <c r="I55" s="32"/>
      <c r="J55" s="32"/>
      <c r="K55" s="62"/>
      <c r="L55" s="62"/>
      <c r="M55" s="62"/>
      <c r="N55" s="62"/>
      <c r="O55" s="62"/>
      <c r="P55" s="23"/>
      <c r="Q55" s="23"/>
    </row>
    <row r="56" spans="1:17" x14ac:dyDescent="0.2">
      <c r="A56" s="51"/>
      <c r="B56" s="47" t="s">
        <v>53</v>
      </c>
      <c r="C56" s="29"/>
      <c r="D56" s="31"/>
      <c r="E56" s="31"/>
      <c r="F56" s="32"/>
      <c r="G56" s="32"/>
      <c r="H56" s="32"/>
      <c r="I56" s="32"/>
      <c r="J56" s="32"/>
      <c r="K56" s="62"/>
      <c r="L56" s="62"/>
      <c r="M56" s="62"/>
      <c r="N56" s="62"/>
      <c r="O56" s="62"/>
      <c r="P56" s="23"/>
      <c r="Q56" s="23"/>
    </row>
    <row r="57" spans="1:17" x14ac:dyDescent="0.2">
      <c r="A57" s="51">
        <v>8520</v>
      </c>
      <c r="B57" s="3" t="s">
        <v>54</v>
      </c>
      <c r="C57" s="23">
        <v>2000</v>
      </c>
      <c r="D57" s="36">
        <v>0</v>
      </c>
      <c r="E57" s="36">
        <v>213.35</v>
      </c>
      <c r="F57" s="36">
        <v>613.27</v>
      </c>
      <c r="G57" s="36">
        <v>0</v>
      </c>
      <c r="H57" s="36">
        <v>0</v>
      </c>
      <c r="I57" s="36">
        <v>112.78</v>
      </c>
      <c r="J57" s="36">
        <v>166.67</v>
      </c>
      <c r="K57" s="36">
        <v>166.67</v>
      </c>
      <c r="L57" s="36">
        <v>166.67</v>
      </c>
      <c r="M57" s="36">
        <v>166.67</v>
      </c>
      <c r="N57" s="36">
        <v>166.67</v>
      </c>
      <c r="O57" s="36">
        <v>166.63</v>
      </c>
      <c r="P57" s="23">
        <f>SUM(D57:O57)</f>
        <v>1939.38</v>
      </c>
      <c r="Q57" s="23">
        <v>2000</v>
      </c>
    </row>
    <row r="58" spans="1:17" ht="13.5" thickBot="1" x14ac:dyDescent="0.25">
      <c r="A58" s="51"/>
      <c r="B58" s="47" t="s">
        <v>55</v>
      </c>
      <c r="C58" s="33">
        <f>SUM(C57)</f>
        <v>2000</v>
      </c>
      <c r="D58" s="28">
        <f>SUM(D57)</f>
        <v>0</v>
      </c>
      <c r="E58" s="28">
        <f>SUM(E57)</f>
        <v>213.35</v>
      </c>
      <c r="F58" s="28">
        <f>SUM(F57)</f>
        <v>613.27</v>
      </c>
      <c r="G58" s="28">
        <f>SUM(G57)</f>
        <v>0</v>
      </c>
      <c r="H58" s="34">
        <f t="shared" ref="H58:O58" si="10">SUM(H57)</f>
        <v>0</v>
      </c>
      <c r="I58" s="34">
        <f t="shared" si="10"/>
        <v>112.78</v>
      </c>
      <c r="J58" s="34">
        <f t="shared" si="10"/>
        <v>166.67</v>
      </c>
      <c r="K58" s="34">
        <f t="shared" si="10"/>
        <v>166.67</v>
      </c>
      <c r="L58" s="34">
        <f t="shared" si="10"/>
        <v>166.67</v>
      </c>
      <c r="M58" s="34">
        <f t="shared" si="10"/>
        <v>166.67</v>
      </c>
      <c r="N58" s="34">
        <f t="shared" si="10"/>
        <v>166.67</v>
      </c>
      <c r="O58" s="34">
        <f t="shared" si="10"/>
        <v>166.63</v>
      </c>
      <c r="P58" s="33">
        <f>SUM(P57)</f>
        <v>1939.38</v>
      </c>
      <c r="Q58" s="33">
        <f>SUM(Q57)</f>
        <v>2000</v>
      </c>
    </row>
    <row r="59" spans="1:17" x14ac:dyDescent="0.2">
      <c r="A59" s="51"/>
      <c r="B59" s="47"/>
      <c r="C59" s="29"/>
      <c r="D59" s="31"/>
      <c r="E59" s="31"/>
      <c r="F59" s="32"/>
      <c r="G59" s="32"/>
      <c r="H59" s="32"/>
      <c r="I59" s="32"/>
      <c r="J59" s="32"/>
      <c r="K59" s="62"/>
      <c r="L59" s="62"/>
      <c r="M59" s="62"/>
      <c r="N59" s="62"/>
      <c r="O59" s="62"/>
      <c r="P59" s="23"/>
      <c r="Q59" s="23"/>
    </row>
    <row r="60" spans="1:17" ht="13.5" thickBot="1" x14ac:dyDescent="0.25">
      <c r="C60" s="29"/>
      <c r="D60" s="25"/>
      <c r="E60" s="25"/>
      <c r="F60" s="26"/>
      <c r="G60" s="26"/>
      <c r="H60" s="26"/>
      <c r="I60" s="26"/>
      <c r="J60" s="26"/>
      <c r="K60" s="62"/>
      <c r="L60" s="62"/>
      <c r="M60" s="62"/>
      <c r="N60" s="62"/>
      <c r="O60" s="62"/>
      <c r="P60" s="23"/>
      <c r="Q60" s="23"/>
    </row>
    <row r="61" spans="1:17" ht="13.5" thickBot="1" x14ac:dyDescent="0.25">
      <c r="B61" s="47" t="s">
        <v>56</v>
      </c>
      <c r="C61" s="37">
        <f t="shared" ref="C61:Q61" si="11">C58+C54+C42+C36+C29+C20</f>
        <v>189503</v>
      </c>
      <c r="D61" s="30">
        <f t="shared" si="11"/>
        <v>10955.18</v>
      </c>
      <c r="E61" s="27">
        <f t="shared" si="11"/>
        <v>4342.6530000000002</v>
      </c>
      <c r="F61" s="27">
        <f t="shared" si="11"/>
        <v>20573.11</v>
      </c>
      <c r="G61" s="27">
        <f t="shared" si="11"/>
        <v>19139.099999999999</v>
      </c>
      <c r="H61" s="27">
        <f t="shared" si="11"/>
        <v>13478.17</v>
      </c>
      <c r="I61" s="27">
        <f t="shared" si="11"/>
        <v>20194.09</v>
      </c>
      <c r="J61" s="27">
        <f t="shared" si="11"/>
        <v>16423.09</v>
      </c>
      <c r="K61" s="27">
        <f t="shared" si="11"/>
        <v>18504.09</v>
      </c>
      <c r="L61" s="27">
        <f t="shared" si="11"/>
        <v>16923.09</v>
      </c>
      <c r="M61" s="27">
        <f t="shared" si="11"/>
        <v>14541.42</v>
      </c>
      <c r="N61" s="27">
        <f t="shared" si="11"/>
        <v>13791.42</v>
      </c>
      <c r="O61" s="27">
        <f t="shared" si="11"/>
        <v>13791.34</v>
      </c>
      <c r="P61" s="37">
        <f t="shared" si="11"/>
        <v>182656.753</v>
      </c>
      <c r="Q61" s="37">
        <f t="shared" si="11"/>
        <v>183850</v>
      </c>
    </row>
    <row r="62" spans="1:17" ht="13.5" thickBot="1" x14ac:dyDescent="0.25">
      <c r="B62" s="3" t="s">
        <v>57</v>
      </c>
      <c r="C62" s="38">
        <f>C13</f>
        <v>189503</v>
      </c>
      <c r="D62" s="39">
        <f t="shared" ref="D62:Q62" si="12">D13</f>
        <v>27454.589999999997</v>
      </c>
      <c r="E62" s="39">
        <f t="shared" si="12"/>
        <v>27454.589999999997</v>
      </c>
      <c r="F62" s="39">
        <f t="shared" si="12"/>
        <v>15348</v>
      </c>
      <c r="G62" s="39">
        <f t="shared" si="12"/>
        <v>16161.5</v>
      </c>
      <c r="H62" s="39">
        <f t="shared" si="12"/>
        <v>9756.14</v>
      </c>
      <c r="I62" s="39">
        <f t="shared" si="12"/>
        <v>10220.780000000001</v>
      </c>
      <c r="J62" s="39">
        <f t="shared" si="12"/>
        <v>-358.33</v>
      </c>
      <c r="K62" s="39">
        <f t="shared" si="12"/>
        <v>-358.33</v>
      </c>
      <c r="L62" s="39">
        <f t="shared" si="12"/>
        <v>67794.67</v>
      </c>
      <c r="M62" s="39">
        <f t="shared" si="12"/>
        <v>-358.33</v>
      </c>
      <c r="N62" s="39">
        <f t="shared" si="12"/>
        <v>-358.33</v>
      </c>
      <c r="O62" s="39">
        <f t="shared" si="12"/>
        <v>-358.33</v>
      </c>
      <c r="P62" s="23">
        <f t="shared" si="12"/>
        <v>102929.51</v>
      </c>
      <c r="Q62" s="23">
        <f t="shared" si="12"/>
        <v>183850</v>
      </c>
    </row>
    <row r="63" spans="1:17" ht="13.5" thickBot="1" x14ac:dyDescent="0.25">
      <c r="B63" s="47" t="s">
        <v>58</v>
      </c>
      <c r="C63" s="40">
        <f>C61-C62</f>
        <v>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0">
        <f>P61-P62</f>
        <v>79727.243000000002</v>
      </c>
      <c r="Q63" s="40">
        <f>Q61-Q62</f>
        <v>0</v>
      </c>
    </row>
    <row r="64" spans="1:17" ht="13.5" thickBot="1" x14ac:dyDescent="0.2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2:17" x14ac:dyDescent="0.2">
      <c r="B65" s="47" t="s">
        <v>67</v>
      </c>
      <c r="D65" s="14">
        <v>71881.820000000007</v>
      </c>
      <c r="E65" s="14">
        <v>41149.9</v>
      </c>
      <c r="F65" s="14">
        <v>17509.52</v>
      </c>
      <c r="G65" s="14">
        <v>1290.5999999999999</v>
      </c>
      <c r="H65" s="14">
        <v>1894.28</v>
      </c>
      <c r="I65" s="14">
        <v>4060.94</v>
      </c>
      <c r="J65" s="14"/>
      <c r="K65" s="14"/>
      <c r="L65" s="14"/>
      <c r="M65" s="14"/>
      <c r="N65" s="14"/>
      <c r="O65" s="14"/>
      <c r="P65" s="14"/>
      <c r="Q65" s="14"/>
    </row>
    <row r="66" spans="2:17" x14ac:dyDescent="0.2">
      <c r="B66" s="47" t="s">
        <v>69</v>
      </c>
      <c r="D66" s="14"/>
      <c r="E66" s="14"/>
      <c r="F66" s="14">
        <v>26221.5</v>
      </c>
      <c r="G66" s="14">
        <v>26243.06</v>
      </c>
      <c r="H66" s="14">
        <v>7757.55</v>
      </c>
      <c r="I66" s="14">
        <v>161.78</v>
      </c>
      <c r="J66" s="14"/>
      <c r="K66" s="14"/>
      <c r="L66" s="14"/>
      <c r="M66" s="14"/>
      <c r="N66" s="14"/>
      <c r="O66" s="14"/>
      <c r="P66" s="14"/>
      <c r="Q66" s="14"/>
    </row>
    <row r="67" spans="2:17" x14ac:dyDescent="0.2">
      <c r="B67" s="3" t="s">
        <v>59</v>
      </c>
      <c r="D67" s="15">
        <f>O61+N61+M61+L61+K61+J61+I61+H61+G61+F61+E61</f>
        <v>171701.57299999997</v>
      </c>
      <c r="E67" s="15">
        <f>O61+N61+M61+L61+K61+J61+I61+H61+G61+F61</f>
        <v>167358.91999999998</v>
      </c>
      <c r="F67" s="64">
        <f>$O$61+$N$61+$M$61+$L$61+$K$61+$J$61+$I$61+$H$61+G61</f>
        <v>146785.81</v>
      </c>
      <c r="G67" s="64">
        <f>$O$61+$N$61+$M$61+$L$61+$K$61+$J$61+$I$61+$H$61</f>
        <v>127646.70999999999</v>
      </c>
      <c r="H67" s="64">
        <f>$O$61+$N$61+$M$61+$L$61+$K$61+$J$61+$I$61</f>
        <v>114168.54</v>
      </c>
      <c r="I67" s="64">
        <f>$O$61+$N$61+$M$61+$L$61+$K$61+$J$61</f>
        <v>93974.45</v>
      </c>
    </row>
    <row r="68" spans="2:17" x14ac:dyDescent="0.2">
      <c r="B68" s="47" t="s">
        <v>60</v>
      </c>
      <c r="D68" s="19">
        <f>D65-D67</f>
        <v>-99819.752999999968</v>
      </c>
      <c r="E68" s="19">
        <f>E65-E67</f>
        <v>-126209.01999999999</v>
      </c>
      <c r="F68" s="19">
        <f>F65+F66-F67</f>
        <v>-103054.79</v>
      </c>
      <c r="G68" s="19">
        <f t="shared" ref="G68:O68" si="13">G65+G66-G67</f>
        <v>-100113.04999999999</v>
      </c>
      <c r="H68" s="19">
        <f t="shared" si="13"/>
        <v>-104516.70999999999</v>
      </c>
      <c r="I68" s="19">
        <f t="shared" si="13"/>
        <v>-89751.73</v>
      </c>
      <c r="J68" s="19">
        <f t="shared" si="13"/>
        <v>0</v>
      </c>
      <c r="K68" s="19">
        <f t="shared" si="13"/>
        <v>0</v>
      </c>
      <c r="L68" s="19">
        <f t="shared" si="13"/>
        <v>0</v>
      </c>
      <c r="M68" s="19">
        <f t="shared" si="13"/>
        <v>0</v>
      </c>
      <c r="N68" s="19">
        <f t="shared" si="13"/>
        <v>0</v>
      </c>
      <c r="O68" s="19">
        <f t="shared" si="13"/>
        <v>0</v>
      </c>
      <c r="P68" s="19">
        <f>P65-P67</f>
        <v>0</v>
      </c>
      <c r="Q68" s="19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 Costs</vt:lpstr>
      <vt:lpstr>'Proj Costs'!Print_Area</vt:lpstr>
    </vt:vector>
  </TitlesOfParts>
  <Company>Sentry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elove</dc:creator>
  <cp:lastModifiedBy>CharBarb3</cp:lastModifiedBy>
  <cp:lastPrinted>2011-08-22T15:17:03Z</cp:lastPrinted>
  <dcterms:created xsi:type="dcterms:W3CDTF">2010-01-06T21:34:14Z</dcterms:created>
  <dcterms:modified xsi:type="dcterms:W3CDTF">2012-02-03T21:24:06Z</dcterms:modified>
</cp:coreProperties>
</file>